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2 料金係\00 共通\（案）水道料金早見表【作成中】\"/>
    </mc:Choice>
  </mc:AlternateContent>
  <xr:revisionPtr revIDLastSave="0" documentId="8_{29B26370-1A03-4D57-A45B-E9033C47967B}" xr6:coauthVersionLast="45" xr6:coauthVersionMax="45" xr10:uidLastSave="{00000000-0000-0000-0000-000000000000}"/>
  <bookViews>
    <workbookView xWindow="-120" yWindow="-120" windowWidth="29040" windowHeight="15840" xr2:uid="{C55B53C6-BCA2-4459-95C4-FDDE64702923}"/>
  </bookViews>
  <sheets>
    <sheet name="２か月あたりの額　計算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D58" i="1" s="1"/>
  <c r="C57" i="1"/>
  <c r="D57" i="1" s="1"/>
  <c r="C56" i="1"/>
  <c r="D56" i="1" s="1"/>
  <c r="C55" i="1"/>
  <c r="D55" i="1" s="1"/>
  <c r="C54" i="1"/>
  <c r="D54" i="1" s="1"/>
  <c r="C53" i="1"/>
  <c r="D53" i="1" s="1"/>
  <c r="C48" i="1"/>
  <c r="D48" i="1" s="1"/>
  <c r="C47" i="1"/>
  <c r="D47" i="1" s="1"/>
  <c r="C46" i="1"/>
  <c r="D46" i="1" s="1"/>
  <c r="C45" i="1"/>
  <c r="D45" i="1" s="1"/>
  <c r="C39" i="1"/>
  <c r="D39" i="1" s="1"/>
  <c r="C38" i="1"/>
  <c r="D38" i="1" s="1"/>
  <c r="C37" i="1"/>
  <c r="D37" i="1" s="1"/>
  <c r="C36" i="1"/>
  <c r="D36" i="1" s="1"/>
  <c r="C35" i="1"/>
  <c r="D35" i="1" s="1"/>
  <c r="J26" i="1"/>
  <c r="E59" i="1" s="1"/>
  <c r="I26" i="1"/>
  <c r="E58" i="1" s="1"/>
  <c r="H26" i="1"/>
  <c r="E57" i="1" s="1"/>
  <c r="G26" i="1"/>
  <c r="E56" i="1" s="1"/>
  <c r="F26" i="1"/>
  <c r="E55" i="1" s="1"/>
  <c r="E26" i="1"/>
  <c r="E54" i="1" s="1"/>
  <c r="D26" i="1"/>
  <c r="E53" i="1" s="1"/>
  <c r="H19" i="1"/>
  <c r="L49" i="1" s="1"/>
  <c r="G19" i="1"/>
  <c r="L48" i="1" s="1"/>
  <c r="F19" i="1"/>
  <c r="L47" i="1" s="1"/>
  <c r="E19" i="1"/>
  <c r="L46" i="1" s="1"/>
  <c r="D19" i="1"/>
  <c r="L45" i="1" s="1"/>
  <c r="H18" i="1"/>
  <c r="K49" i="1" s="1"/>
  <c r="G18" i="1"/>
  <c r="K48" i="1" s="1"/>
  <c r="F18" i="1"/>
  <c r="K47" i="1" s="1"/>
  <c r="E18" i="1"/>
  <c r="K46" i="1" s="1"/>
  <c r="D18" i="1"/>
  <c r="K45" i="1" s="1"/>
  <c r="H17" i="1"/>
  <c r="J49" i="1" s="1"/>
  <c r="G17" i="1"/>
  <c r="J48" i="1" s="1"/>
  <c r="F17" i="1"/>
  <c r="J47" i="1" s="1"/>
  <c r="E17" i="1"/>
  <c r="J46" i="1" s="1"/>
  <c r="D17" i="1"/>
  <c r="J45" i="1" s="1"/>
  <c r="H16" i="1"/>
  <c r="I49" i="1" s="1"/>
  <c r="G16" i="1"/>
  <c r="I48" i="1" s="1"/>
  <c r="F16" i="1"/>
  <c r="I47" i="1" s="1"/>
  <c r="E16" i="1"/>
  <c r="I46" i="1" s="1"/>
  <c r="D16" i="1"/>
  <c r="I45" i="1" s="1"/>
  <c r="H15" i="1"/>
  <c r="H49" i="1" s="1"/>
  <c r="G15" i="1"/>
  <c r="H48" i="1" s="1"/>
  <c r="F15" i="1"/>
  <c r="H47" i="1" s="1"/>
  <c r="E15" i="1"/>
  <c r="H46" i="1" s="1"/>
  <c r="D15" i="1"/>
  <c r="H45" i="1" s="1"/>
  <c r="H14" i="1"/>
  <c r="G49" i="1" s="1"/>
  <c r="G14" i="1"/>
  <c r="G48" i="1" s="1"/>
  <c r="F14" i="1"/>
  <c r="G47" i="1" s="1"/>
  <c r="E14" i="1"/>
  <c r="G46" i="1" s="1"/>
  <c r="D14" i="1"/>
  <c r="G45" i="1" s="1"/>
  <c r="H13" i="1"/>
  <c r="F49" i="1" s="1"/>
  <c r="G13" i="1"/>
  <c r="F48" i="1" s="1"/>
  <c r="F13" i="1"/>
  <c r="F47" i="1" s="1"/>
  <c r="E13" i="1"/>
  <c r="F46" i="1" s="1"/>
  <c r="D13" i="1"/>
  <c r="F45" i="1" s="1"/>
  <c r="H12" i="1"/>
  <c r="E49" i="1" s="1"/>
  <c r="G12" i="1"/>
  <c r="E48" i="1" s="1"/>
  <c r="F12" i="1"/>
  <c r="E47" i="1" s="1"/>
  <c r="E12" i="1"/>
  <c r="E46" i="1" s="1"/>
  <c r="D12" i="1"/>
  <c r="E45" i="1" s="1"/>
  <c r="I8" i="1"/>
  <c r="F40" i="1" s="1"/>
  <c r="H8" i="1"/>
  <c r="F39" i="1" s="1"/>
  <c r="G8" i="1"/>
  <c r="F38" i="1" s="1"/>
  <c r="F8" i="1"/>
  <c r="F37" i="1" s="1"/>
  <c r="E8" i="1"/>
  <c r="F36" i="1" s="1"/>
  <c r="D8" i="1"/>
  <c r="F35" i="1" s="1"/>
  <c r="I7" i="1"/>
  <c r="E40" i="1" s="1"/>
  <c r="H7" i="1"/>
  <c r="E39" i="1" s="1"/>
  <c r="G7" i="1"/>
  <c r="E38" i="1" s="1"/>
  <c r="F7" i="1"/>
  <c r="E37" i="1" s="1"/>
  <c r="E7" i="1"/>
  <c r="E36" i="1" s="1"/>
  <c r="D7" i="1"/>
  <c r="E35" i="1" s="1"/>
  <c r="D60" i="1" l="1"/>
  <c r="I30" i="1" s="1"/>
  <c r="I31" i="1" s="1"/>
  <c r="I32" i="1" s="1"/>
  <c r="D50" i="1"/>
  <c r="H60" i="1" s="1"/>
  <c r="D41" i="1"/>
  <c r="H55" i="1" l="1"/>
  <c r="H59" i="1"/>
  <c r="H54" i="1"/>
  <c r="H57" i="1"/>
  <c r="H58" i="1"/>
  <c r="H56" i="1"/>
  <c r="H53" i="1"/>
  <c r="H52" i="1"/>
  <c r="H30" i="1" s="1"/>
  <c r="H31" i="1" l="1"/>
  <c r="H32" i="1" s="1"/>
</calcChain>
</file>

<file path=xl/sharedStrings.xml><?xml version="1.0" encoding="utf-8"?>
<sst xmlns="http://schemas.openxmlformats.org/spreadsheetml/2006/main" count="79" uniqueCount="58">
  <si>
    <t>■水道料金(2ヶ月につき)</t>
    <rPh sb="1" eb="3">
      <t>スイドウ</t>
    </rPh>
    <rPh sb="3" eb="5">
      <t>リョウキン</t>
    </rPh>
    <rPh sb="8" eb="9">
      <t>ゲツ</t>
    </rPh>
    <phoneticPr fontId="3"/>
  </si>
  <si>
    <t>メーター口径
及び用途</t>
    <rPh sb="4" eb="6">
      <t>コウケイ</t>
    </rPh>
    <rPh sb="7" eb="8">
      <t>オヨ</t>
    </rPh>
    <rPh sb="9" eb="11">
      <t>ヨウト</t>
    </rPh>
    <phoneticPr fontId="3"/>
  </si>
  <si>
    <t>基本料金</t>
    <rPh sb="0" eb="4">
      <t>キホンリョウキン</t>
    </rPh>
    <phoneticPr fontId="3"/>
  </si>
  <si>
    <t>超過料金</t>
    <rPh sb="0" eb="2">
      <t>チョウカ</t>
    </rPh>
    <rPh sb="2" eb="4">
      <t>リョウキン</t>
    </rPh>
    <phoneticPr fontId="3"/>
  </si>
  <si>
    <t>1㎥～20㎥</t>
    <phoneticPr fontId="3"/>
  </si>
  <si>
    <t>21㎥～40㎥</t>
    <phoneticPr fontId="3"/>
  </si>
  <si>
    <r>
      <t>41</t>
    </r>
    <r>
      <rPr>
        <sz val="12"/>
        <color theme="1"/>
        <rFont val="Segoe UI Symbol"/>
        <family val="2"/>
      </rPr>
      <t>㎥</t>
    </r>
    <r>
      <rPr>
        <sz val="12"/>
        <color theme="1"/>
        <rFont val="HGPｺﾞｼｯｸM"/>
        <family val="3"/>
        <charset val="128"/>
      </rPr>
      <t>～60</t>
    </r>
    <r>
      <rPr>
        <sz val="12"/>
        <color theme="1"/>
        <rFont val="Segoe UI Symbol"/>
        <family val="2"/>
      </rPr>
      <t>㎥</t>
    </r>
    <phoneticPr fontId="3"/>
  </si>
  <si>
    <r>
      <t>61</t>
    </r>
    <r>
      <rPr>
        <sz val="12"/>
        <color theme="1"/>
        <rFont val="Segoe UI Symbol"/>
        <family val="2"/>
      </rPr>
      <t>㎥</t>
    </r>
    <r>
      <rPr>
        <sz val="12"/>
        <color theme="1"/>
        <rFont val="HGPｺﾞｼｯｸM"/>
        <family val="3"/>
        <charset val="128"/>
      </rPr>
      <t>～120</t>
    </r>
    <r>
      <rPr>
        <sz val="12"/>
        <color theme="1"/>
        <rFont val="Segoe UI Symbol"/>
        <family val="2"/>
      </rPr>
      <t>㎥</t>
    </r>
    <phoneticPr fontId="3"/>
  </si>
  <si>
    <r>
      <t>121</t>
    </r>
    <r>
      <rPr>
        <sz val="12"/>
        <color theme="1"/>
        <rFont val="Segoe UI Symbol"/>
        <family val="2"/>
      </rPr>
      <t>㎥</t>
    </r>
    <r>
      <rPr>
        <sz val="12"/>
        <color theme="1"/>
        <rFont val="HGPｺﾞｼｯｸM"/>
        <family val="3"/>
        <charset val="128"/>
      </rPr>
      <t>～220</t>
    </r>
    <r>
      <rPr>
        <sz val="12"/>
        <color theme="1"/>
        <rFont val="Segoe UI Symbol"/>
        <family val="2"/>
      </rPr>
      <t>㎥</t>
    </r>
    <phoneticPr fontId="3"/>
  </si>
  <si>
    <r>
      <t>221</t>
    </r>
    <r>
      <rPr>
        <sz val="12"/>
        <color theme="1"/>
        <rFont val="Segoe UI Symbol"/>
        <family val="2"/>
      </rPr>
      <t>㎥</t>
    </r>
    <r>
      <rPr>
        <sz val="12"/>
        <color theme="1"/>
        <rFont val="HGPｺﾞｼｯｸM"/>
        <family val="3"/>
        <charset val="128"/>
      </rPr>
      <t>以上</t>
    </r>
    <phoneticPr fontId="3"/>
  </si>
  <si>
    <t>単価（円）</t>
    <rPh sb="0" eb="2">
      <t>タンカ</t>
    </rPh>
    <rPh sb="3" eb="4">
      <t>エン</t>
    </rPh>
    <phoneticPr fontId="3"/>
  </si>
  <si>
    <t>基本料金のみ</t>
    <rPh sb="0" eb="4">
      <t>キホンリョウキン</t>
    </rPh>
    <phoneticPr fontId="3"/>
  </si>
  <si>
    <t>13mm</t>
    <phoneticPr fontId="3"/>
  </si>
  <si>
    <t>20mm</t>
    <phoneticPr fontId="3"/>
  </si>
  <si>
    <r>
      <t>41</t>
    </r>
    <r>
      <rPr>
        <sz val="12"/>
        <color theme="1"/>
        <rFont val="Segoe UI Symbol"/>
        <family val="2"/>
      </rPr>
      <t>㎥</t>
    </r>
    <r>
      <rPr>
        <sz val="12"/>
        <color theme="1"/>
        <rFont val="HGPｺﾞｼｯｸM"/>
        <family val="3"/>
        <charset val="128"/>
      </rPr>
      <t>～100</t>
    </r>
    <r>
      <rPr>
        <sz val="12"/>
        <color theme="1"/>
        <rFont val="Segoe UI Symbol"/>
        <family val="2"/>
      </rPr>
      <t>㎥</t>
    </r>
    <phoneticPr fontId="3"/>
  </si>
  <si>
    <r>
      <t>101</t>
    </r>
    <r>
      <rPr>
        <sz val="12"/>
        <color theme="1"/>
        <rFont val="Segoe UI Symbol"/>
        <family val="2"/>
      </rPr>
      <t>㎥</t>
    </r>
    <r>
      <rPr>
        <sz val="12"/>
        <color theme="1"/>
        <rFont val="HGPｺﾞｼｯｸM"/>
        <family val="3"/>
        <charset val="128"/>
      </rPr>
      <t>～200</t>
    </r>
    <r>
      <rPr>
        <sz val="12"/>
        <color theme="1"/>
        <rFont val="Segoe UI Symbol"/>
        <family val="2"/>
      </rPr>
      <t>㎥</t>
    </r>
    <phoneticPr fontId="3"/>
  </si>
  <si>
    <r>
      <t>201</t>
    </r>
    <r>
      <rPr>
        <sz val="12"/>
        <color theme="1"/>
        <rFont val="Segoe UI Symbol"/>
        <family val="2"/>
      </rPr>
      <t>㎥</t>
    </r>
    <r>
      <rPr>
        <sz val="12"/>
        <color theme="1"/>
        <rFont val="HGPｺﾞｼｯｸM"/>
        <family val="3"/>
        <charset val="128"/>
      </rPr>
      <t>以上</t>
    </r>
    <phoneticPr fontId="3"/>
  </si>
  <si>
    <t>25mm</t>
    <phoneticPr fontId="3"/>
  </si>
  <si>
    <t>30mm</t>
    <phoneticPr fontId="3"/>
  </si>
  <si>
    <t>40mm</t>
    <phoneticPr fontId="3"/>
  </si>
  <si>
    <t>50mm</t>
    <phoneticPr fontId="3"/>
  </si>
  <si>
    <t>75mm</t>
    <phoneticPr fontId="3"/>
  </si>
  <si>
    <t>100mm</t>
    <phoneticPr fontId="3"/>
  </si>
  <si>
    <t>150mm</t>
    <phoneticPr fontId="3"/>
  </si>
  <si>
    <t>200mm</t>
    <phoneticPr fontId="3"/>
  </si>
  <si>
    <t>■下水道使用料等(2ヶ月につき)</t>
    <rPh sb="1" eb="4">
      <t>ゲスイドウ</t>
    </rPh>
    <rPh sb="4" eb="8">
      <t>シヨウリョウトウ</t>
    </rPh>
    <rPh sb="11" eb="12">
      <t>ゲツ</t>
    </rPh>
    <phoneticPr fontId="3"/>
  </si>
  <si>
    <t>区分</t>
    <rPh sb="0" eb="2">
      <t>クブン</t>
    </rPh>
    <phoneticPr fontId="3"/>
  </si>
  <si>
    <t>20㎥を超える加算料金(１㎥につき)</t>
    <rPh sb="4" eb="5">
      <t>コ</t>
    </rPh>
    <rPh sb="7" eb="9">
      <t>カサン</t>
    </rPh>
    <rPh sb="9" eb="11">
      <t>リョウキン</t>
    </rPh>
    <phoneticPr fontId="3"/>
  </si>
  <si>
    <t>61㎥～100㎥</t>
    <phoneticPr fontId="3"/>
  </si>
  <si>
    <t>101㎥～200㎥</t>
    <phoneticPr fontId="3"/>
  </si>
  <si>
    <r>
      <t>201</t>
    </r>
    <r>
      <rPr>
        <sz val="12"/>
        <color theme="1"/>
        <rFont val="Segoe UI Symbol"/>
        <family val="2"/>
      </rPr>
      <t>㎥</t>
    </r>
    <r>
      <rPr>
        <sz val="12"/>
        <color theme="1"/>
        <rFont val="HGPｺﾞｼｯｸM"/>
        <family val="3"/>
        <charset val="128"/>
      </rPr>
      <t>～1500</t>
    </r>
    <phoneticPr fontId="3"/>
  </si>
  <si>
    <t>1501㎡以上</t>
    <rPh sb="5" eb="7">
      <t>イジョウ</t>
    </rPh>
    <phoneticPr fontId="3"/>
  </si>
  <si>
    <t>一般排水</t>
    <rPh sb="0" eb="2">
      <t>イッパン</t>
    </rPh>
    <rPh sb="2" eb="4">
      <t>ハイスイ</t>
    </rPh>
    <phoneticPr fontId="3"/>
  </si>
  <si>
    <t>水道料金</t>
    <rPh sb="0" eb="2">
      <t>スイドウ</t>
    </rPh>
    <rPh sb="2" eb="4">
      <t>リョウキン</t>
    </rPh>
    <phoneticPr fontId="3"/>
  </si>
  <si>
    <t>下水道使用料</t>
    <rPh sb="0" eb="3">
      <t>ゲスイドウ</t>
    </rPh>
    <rPh sb="3" eb="6">
      <t>シヨウリョウ</t>
    </rPh>
    <phoneticPr fontId="3"/>
  </si>
  <si>
    <t>口径入力</t>
    <rPh sb="0" eb="2">
      <t>コウケイ</t>
    </rPh>
    <rPh sb="2" eb="4">
      <t>ニュウリョク</t>
    </rPh>
    <phoneticPr fontId="3"/>
  </si>
  <si>
    <t>←　選択してください</t>
    <rPh sb="2" eb="4">
      <t>センタク</t>
    </rPh>
    <phoneticPr fontId="3"/>
  </si>
  <si>
    <t>税抜金額</t>
    <rPh sb="0" eb="2">
      <t>ゼイヌ</t>
    </rPh>
    <rPh sb="2" eb="4">
      <t>キンガク</t>
    </rPh>
    <phoneticPr fontId="3"/>
  </si>
  <si>
    <t>水量入力</t>
    <rPh sb="0" eb="2">
      <t>スイリョウ</t>
    </rPh>
    <rPh sb="2" eb="4">
      <t>ニュウリョク</t>
    </rPh>
    <phoneticPr fontId="3"/>
  </si>
  <si>
    <t>←　水量を入力してください</t>
    <rPh sb="2" eb="4">
      <t>スイリョウ</t>
    </rPh>
    <rPh sb="5" eb="7">
      <t>ニュウリョク</t>
    </rPh>
    <phoneticPr fontId="3"/>
  </si>
  <si>
    <t>消費税相当額</t>
    <rPh sb="0" eb="3">
      <t>ショウヒゼイ</t>
    </rPh>
    <rPh sb="3" eb="6">
      <t>ソウトウガク</t>
    </rPh>
    <phoneticPr fontId="3"/>
  </si>
  <si>
    <t>税込金額</t>
    <rPh sb="0" eb="2">
      <t>ゼイコミ</t>
    </rPh>
    <rPh sb="2" eb="4">
      <t>キンガク</t>
    </rPh>
    <phoneticPr fontId="3"/>
  </si>
  <si>
    <t>水道</t>
    <rPh sb="0" eb="2">
      <t>スイドウ</t>
    </rPh>
    <phoneticPr fontId="3"/>
  </si>
  <si>
    <t>a</t>
    <phoneticPr fontId="3"/>
  </si>
  <si>
    <t>b</t>
    <phoneticPr fontId="3"/>
  </si>
  <si>
    <t>1～20</t>
    <phoneticPr fontId="3"/>
  </si>
  <si>
    <t>21～40</t>
    <phoneticPr fontId="3"/>
  </si>
  <si>
    <t>41～60</t>
    <phoneticPr fontId="3"/>
  </si>
  <si>
    <t>61～120</t>
    <phoneticPr fontId="3"/>
  </si>
  <si>
    <t>121～220</t>
    <phoneticPr fontId="3"/>
  </si>
  <si>
    <t>221～</t>
    <phoneticPr fontId="3"/>
  </si>
  <si>
    <t>41～100</t>
    <phoneticPr fontId="3"/>
  </si>
  <si>
    <t>101～200</t>
    <phoneticPr fontId="3"/>
  </si>
  <si>
    <t>201～</t>
    <phoneticPr fontId="3"/>
  </si>
  <si>
    <t>下水</t>
    <rPh sb="0" eb="2">
      <t>ゲスイ</t>
    </rPh>
    <phoneticPr fontId="3"/>
  </si>
  <si>
    <t>61～100</t>
    <phoneticPr fontId="3"/>
  </si>
  <si>
    <t>200～1500</t>
    <phoneticPr fontId="3"/>
  </si>
  <si>
    <t>1500～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</si>
</sst>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);[Red]\(#,##0.00\)"/>
    <numFmt numFmtId="177" formatCode="#,##0.00_ "/>
    <numFmt numFmtId="178" formatCode="#,###&quot;mm&quot;"/>
    <numFmt numFmtId="179" formatCode="#,###&quot;㎥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10"/>
      <color theme="1"/>
      <name val="HGPｺﾞｼｯｸM"/>
      <family val="3"/>
      <charset val="128"/>
    </font>
    <font>
      <sz val="12"/>
      <color theme="1"/>
      <name val="HGPｺﾞｼｯｸE"/>
      <family val="3"/>
      <charset val="128"/>
    </font>
    <font>
      <sz val="12"/>
      <color theme="1"/>
      <name val="HGPｺﾞｼｯｸM"/>
      <family val="3"/>
      <charset val="128"/>
    </font>
    <font>
      <sz val="12"/>
      <color theme="1"/>
      <name val="Segoe UI Symbol"/>
      <family val="2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Arial"/>
      <family val="2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4" fillId="0" borderId="0" xfId="0" applyFont="1">
      <alignment vertical="center"/>
    </xf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77" fontId="7" fillId="0" borderId="11" xfId="0" applyNumberFormat="1" applyFont="1" applyBorder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7" fillId="0" borderId="11" xfId="0" applyNumberFormat="1" applyFont="1" applyBorder="1" applyAlignment="1">
      <alignment vertical="center" wrapText="1"/>
    </xf>
    <xf numFmtId="0" fontId="0" fillId="0" borderId="8" xfId="0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15" xfId="0" applyFont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77" fontId="7" fillId="0" borderId="6" xfId="0" applyNumberFormat="1" applyFont="1" applyBorder="1">
      <alignment vertical="center"/>
    </xf>
    <xf numFmtId="177" fontId="7" fillId="0" borderId="10" xfId="0" applyNumberFormat="1" applyFont="1" applyBorder="1">
      <alignment vertical="center"/>
    </xf>
    <xf numFmtId="177" fontId="7" fillId="0" borderId="11" xfId="0" applyNumberFormat="1" applyFont="1" applyBorder="1" applyAlignment="1">
      <alignment horizontal="right" vertical="center"/>
    </xf>
    <xf numFmtId="40" fontId="7" fillId="0" borderId="11" xfId="1" applyNumberFormat="1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178" fontId="10" fillId="4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7" fillId="3" borderId="16" xfId="0" applyFont="1" applyFill="1" applyBorder="1" applyAlignment="1">
      <alignment horizontal="center" vertical="center"/>
    </xf>
    <xf numFmtId="38" fontId="12" fillId="0" borderId="11" xfId="1" applyFont="1" applyBorder="1" applyAlignment="1">
      <alignment vertical="center"/>
    </xf>
    <xf numFmtId="179" fontId="13" fillId="4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5" borderId="11" xfId="0" applyNumberFormat="1" applyFill="1" applyBorder="1" applyAlignment="1">
      <alignment horizontal="center" vertical="center"/>
    </xf>
    <xf numFmtId="177" fontId="0" fillId="5" borderId="11" xfId="0" applyNumberFormat="1" applyFill="1" applyBorder="1" applyAlignment="1">
      <alignment horizontal="center" vertical="center"/>
    </xf>
    <xf numFmtId="38" fontId="0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0A64F-F62A-4052-AFF9-09C262EA4C4A}">
  <sheetPr>
    <tabColor theme="5" tint="0.59999389629810485"/>
  </sheetPr>
  <dimension ref="A2:L61"/>
  <sheetViews>
    <sheetView showGridLines="0" showRowColHeaders="0" tabSelected="1" zoomScale="85" zoomScaleNormal="85" workbookViewId="0">
      <pane xSplit="10" ySplit="65" topLeftCell="K66" activePane="bottomRight" state="frozen"/>
      <selection pane="topRight" activeCell="K1" sqref="K1"/>
      <selection pane="bottomLeft" activeCell="A66" sqref="A66"/>
      <selection pane="bottomRight" activeCell="D33" sqref="D33"/>
    </sheetView>
  </sheetViews>
  <sheetFormatPr defaultColWidth="15.25" defaultRowHeight="18.75" x14ac:dyDescent="0.4"/>
  <cols>
    <col min="1" max="1" width="3.125" customWidth="1"/>
    <col min="2" max="2" width="14.5" customWidth="1"/>
    <col min="3" max="3" width="15.125" bestFit="1" customWidth="1"/>
    <col min="4" max="10" width="14.5" customWidth="1"/>
    <col min="11" max="11" width="15.25" customWidth="1"/>
  </cols>
  <sheetData>
    <row r="2" spans="2:10" hidden="1" x14ac:dyDescent="0.4"/>
    <row r="3" spans="2:10" hidden="1" x14ac:dyDescent="0.15">
      <c r="B3" s="1" t="s">
        <v>0</v>
      </c>
      <c r="C3" s="2"/>
      <c r="D3" s="2"/>
      <c r="E3" s="2"/>
      <c r="F3" s="2"/>
      <c r="G3" s="2"/>
      <c r="H3" s="2"/>
      <c r="I3" s="2"/>
      <c r="J3" s="3"/>
    </row>
    <row r="4" spans="2:10" ht="28.5" hidden="1" customHeight="1" x14ac:dyDescent="0.4">
      <c r="B4" s="4" t="s">
        <v>1</v>
      </c>
      <c r="C4" s="5" t="s">
        <v>2</v>
      </c>
      <c r="D4" s="6" t="s">
        <v>3</v>
      </c>
      <c r="E4" s="7"/>
      <c r="F4" s="7"/>
      <c r="G4" s="7"/>
      <c r="H4" s="7"/>
      <c r="I4" s="8"/>
    </row>
    <row r="5" spans="2:10" hidden="1" x14ac:dyDescent="0.4">
      <c r="B5" s="9"/>
      <c r="C5" s="10"/>
      <c r="D5" s="11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</row>
    <row r="6" spans="2:10" hidden="1" x14ac:dyDescent="0.4">
      <c r="B6" s="13"/>
      <c r="C6" s="14" t="s">
        <v>10</v>
      </c>
      <c r="D6" s="15" t="s">
        <v>11</v>
      </c>
      <c r="E6" s="16">
        <v>170</v>
      </c>
      <c r="F6" s="16">
        <v>190</v>
      </c>
      <c r="G6" s="16">
        <v>215</v>
      </c>
      <c r="H6" s="16">
        <v>235</v>
      </c>
      <c r="I6" s="16">
        <v>255</v>
      </c>
    </row>
    <row r="7" spans="2:10" hidden="1" x14ac:dyDescent="0.4">
      <c r="B7" s="17" t="s">
        <v>12</v>
      </c>
      <c r="C7" s="18">
        <v>2580</v>
      </c>
      <c r="D7" s="18">
        <f>C7</f>
        <v>2580</v>
      </c>
      <c r="E7" s="18">
        <f>ROUNDDOWN($C$7+$E$6*($C$31-20),0)</f>
        <v>8700</v>
      </c>
      <c r="F7" s="18">
        <f>ROUNDDOWN($C$7+20*E6+F$6*(C31-40),0)</f>
        <v>9020</v>
      </c>
      <c r="G7" s="18">
        <f>ROUNDDOWN($C$7+E6*20+F6*20+G6*($C$31-60),0)</f>
        <v>8920</v>
      </c>
      <c r="H7" s="18">
        <f>ROUNDDOWN($C$7+E6*20+F6*20+G6*60+H6*($C$31-120),0)</f>
        <v>7640</v>
      </c>
      <c r="I7" s="18">
        <f>ROUNDDOWN($C$7+E6*20+F6*20+G6*60+H6*100+I6*($C$31-220),0)</f>
        <v>4360</v>
      </c>
    </row>
    <row r="8" spans="2:10" hidden="1" x14ac:dyDescent="0.4">
      <c r="B8" s="17" t="s">
        <v>13</v>
      </c>
      <c r="C8" s="18">
        <v>6339.9999999999991</v>
      </c>
      <c r="D8" s="18">
        <f>C8</f>
        <v>6339.9999999999991</v>
      </c>
      <c r="E8" s="18">
        <f>ROUNDDOWN($C$8+$E$6*($C$31-20),0)</f>
        <v>12460</v>
      </c>
      <c r="F8" s="18">
        <f>ROUNDDOWN($C$8+20*E6+F$6*($C$31-40),0)</f>
        <v>12780</v>
      </c>
      <c r="G8" s="18">
        <f>ROUNDDOWN($C$8+E6*20+F6*20+G6*($C$31-60),0)</f>
        <v>12680</v>
      </c>
      <c r="H8" s="18">
        <f>ROUNDDOWN($C$8+E6*20+F6*20+G6*60+H6*($C$31-120),0)</f>
        <v>11400</v>
      </c>
      <c r="I8" s="18">
        <f>ROUNDDOWN($C$8+E6*20+F6*20+G6*60+H6*100+I6*($C$31-220),0)</f>
        <v>8120</v>
      </c>
    </row>
    <row r="9" spans="2:10" ht="28.5" hidden="1" customHeight="1" x14ac:dyDescent="0.4">
      <c r="B9" s="4" t="s">
        <v>1</v>
      </c>
      <c r="C9" s="5" t="s">
        <v>2</v>
      </c>
      <c r="D9" s="19" t="s">
        <v>3</v>
      </c>
      <c r="E9" s="20"/>
      <c r="F9" s="20"/>
      <c r="G9" s="20"/>
      <c r="H9" s="20"/>
      <c r="I9" s="21"/>
    </row>
    <row r="10" spans="2:10" hidden="1" x14ac:dyDescent="0.4">
      <c r="B10" s="9"/>
      <c r="C10" s="10"/>
      <c r="D10" s="11" t="s">
        <v>4</v>
      </c>
      <c r="E10" s="12" t="s">
        <v>5</v>
      </c>
      <c r="F10" s="12" t="s">
        <v>14</v>
      </c>
      <c r="G10" s="12" t="s">
        <v>15</v>
      </c>
      <c r="H10" s="12" t="s">
        <v>16</v>
      </c>
      <c r="I10" s="12"/>
    </row>
    <row r="11" spans="2:10" hidden="1" x14ac:dyDescent="0.4">
      <c r="B11" s="13"/>
      <c r="C11" s="14" t="s">
        <v>10</v>
      </c>
      <c r="D11" s="16">
        <v>170</v>
      </c>
      <c r="E11" s="16">
        <v>190</v>
      </c>
      <c r="F11" s="16">
        <v>215</v>
      </c>
      <c r="G11" s="16">
        <v>235</v>
      </c>
      <c r="H11" s="16">
        <v>255</v>
      </c>
      <c r="I11" s="22"/>
    </row>
    <row r="12" spans="2:10" hidden="1" x14ac:dyDescent="0.4">
      <c r="B12" s="17" t="s">
        <v>17</v>
      </c>
      <c r="C12" s="18">
        <v>9880</v>
      </c>
      <c r="D12" s="18">
        <f>ROUNDDOWN($C12+D$11*($C$31),0)</f>
        <v>19400</v>
      </c>
      <c r="E12" s="18">
        <f>ROUNDDOWN($C12+D$11*20+E$11*($C$31-20),0)</f>
        <v>20120</v>
      </c>
      <c r="F12" s="18">
        <f>ROUNDDOWN($C12+D$11*20+20*E$11+F$11*($C$31-40),0)</f>
        <v>20520</v>
      </c>
      <c r="G12" s="18">
        <f>ROUNDDOWN($C12+D$11*20+E$11*20+F$11*60+G$11*($C$31-100),0)</f>
        <v>19640</v>
      </c>
      <c r="H12" s="18">
        <f t="shared" ref="H12:H19" si="0">ROUNDDOWN($C12+D$11*20+E$11*20+F$11*60+G$11*100+H$11*($C$31-200),0)</f>
        <v>16760</v>
      </c>
      <c r="I12" s="18"/>
    </row>
    <row r="13" spans="2:10" hidden="1" x14ac:dyDescent="0.4">
      <c r="B13" s="17" t="s">
        <v>18</v>
      </c>
      <c r="C13" s="18">
        <v>14119.999999999998</v>
      </c>
      <c r="D13" s="18">
        <f t="shared" ref="D13:D19" si="1">ROUNDDOWN($C13+D$11*($C$31),0)</f>
        <v>23640</v>
      </c>
      <c r="E13" s="18">
        <f t="shared" ref="E13:E19" si="2">ROUNDDOWN($C13+D$11*20+E$11*($C$31-20),0)</f>
        <v>24360</v>
      </c>
      <c r="F13" s="18">
        <f t="shared" ref="F13:F19" si="3">ROUNDDOWN($C13+D$11*20+20*E$11+F$11*($C$31-40),0)</f>
        <v>24760</v>
      </c>
      <c r="G13" s="18">
        <f t="shared" ref="G13:G19" si="4">ROUNDDOWN($C13+D$11*20+E$11*20+F$11*60+G$11*($C$31-100),0)</f>
        <v>23880</v>
      </c>
      <c r="H13" s="18">
        <f t="shared" si="0"/>
        <v>21000</v>
      </c>
      <c r="I13" s="23"/>
    </row>
    <row r="14" spans="2:10" hidden="1" x14ac:dyDescent="0.4">
      <c r="B14" s="17" t="s">
        <v>19</v>
      </c>
      <c r="C14" s="18">
        <v>25879.999999999996</v>
      </c>
      <c r="D14" s="18">
        <f t="shared" si="1"/>
        <v>35400</v>
      </c>
      <c r="E14" s="18">
        <f t="shared" si="2"/>
        <v>36120</v>
      </c>
      <c r="F14" s="18">
        <f t="shared" si="3"/>
        <v>36520</v>
      </c>
      <c r="G14" s="18">
        <f t="shared" si="4"/>
        <v>35640</v>
      </c>
      <c r="H14" s="18">
        <f t="shared" si="0"/>
        <v>32760</v>
      </c>
      <c r="I14" s="24"/>
    </row>
    <row r="15" spans="2:10" hidden="1" x14ac:dyDescent="0.4">
      <c r="B15" s="17" t="s">
        <v>20</v>
      </c>
      <c r="C15" s="18">
        <v>40000</v>
      </c>
      <c r="D15" s="18">
        <f>ROUNDDOWN($C15+D$11*($C$31),0)</f>
        <v>49520</v>
      </c>
      <c r="E15" s="18">
        <f t="shared" si="2"/>
        <v>50240</v>
      </c>
      <c r="F15" s="18">
        <f t="shared" si="3"/>
        <v>50640</v>
      </c>
      <c r="G15" s="18">
        <f t="shared" si="4"/>
        <v>49760</v>
      </c>
      <c r="H15" s="18">
        <f t="shared" si="0"/>
        <v>46880</v>
      </c>
      <c r="I15" s="23"/>
    </row>
    <row r="16" spans="2:10" hidden="1" x14ac:dyDescent="0.4">
      <c r="B16" s="17" t="s">
        <v>21</v>
      </c>
      <c r="C16" s="18">
        <v>89440</v>
      </c>
      <c r="D16" s="18">
        <f t="shared" si="1"/>
        <v>98960</v>
      </c>
      <c r="E16" s="18">
        <f t="shared" si="2"/>
        <v>99680</v>
      </c>
      <c r="F16" s="18">
        <f t="shared" si="3"/>
        <v>100080</v>
      </c>
      <c r="G16" s="18">
        <f t="shared" si="4"/>
        <v>99200</v>
      </c>
      <c r="H16" s="18">
        <f t="shared" si="0"/>
        <v>96320</v>
      </c>
      <c r="I16" s="24"/>
    </row>
    <row r="17" spans="2:10" hidden="1" x14ac:dyDescent="0.4">
      <c r="B17" s="17" t="s">
        <v>22</v>
      </c>
      <c r="C17" s="18">
        <v>157700</v>
      </c>
      <c r="D17" s="18">
        <f t="shared" si="1"/>
        <v>167220</v>
      </c>
      <c r="E17" s="18">
        <f t="shared" si="2"/>
        <v>167940</v>
      </c>
      <c r="F17" s="18">
        <f t="shared" si="3"/>
        <v>168340</v>
      </c>
      <c r="G17" s="18">
        <f t="shared" si="4"/>
        <v>167460</v>
      </c>
      <c r="H17" s="18">
        <f t="shared" si="0"/>
        <v>164580</v>
      </c>
      <c r="I17" s="23"/>
    </row>
    <row r="18" spans="2:10" hidden="1" x14ac:dyDescent="0.4">
      <c r="B18" s="17" t="s">
        <v>23</v>
      </c>
      <c r="C18" s="18">
        <v>357800</v>
      </c>
      <c r="D18" s="18">
        <f t="shared" si="1"/>
        <v>367320</v>
      </c>
      <c r="E18" s="18">
        <f t="shared" si="2"/>
        <v>368040</v>
      </c>
      <c r="F18" s="18">
        <f t="shared" si="3"/>
        <v>368440</v>
      </c>
      <c r="G18" s="18">
        <f t="shared" si="4"/>
        <v>367560</v>
      </c>
      <c r="H18" s="18">
        <f t="shared" si="0"/>
        <v>364680</v>
      </c>
      <c r="I18" s="24"/>
    </row>
    <row r="19" spans="2:10" hidden="1" x14ac:dyDescent="0.4">
      <c r="B19" s="17" t="s">
        <v>24</v>
      </c>
      <c r="C19" s="18">
        <v>626160</v>
      </c>
      <c r="D19" s="18">
        <f t="shared" si="1"/>
        <v>635680</v>
      </c>
      <c r="E19" s="18">
        <f t="shared" si="2"/>
        <v>636400</v>
      </c>
      <c r="F19" s="18">
        <f t="shared" si="3"/>
        <v>636800</v>
      </c>
      <c r="G19" s="18">
        <f t="shared" si="4"/>
        <v>635920</v>
      </c>
      <c r="H19" s="18">
        <f t="shared" si="0"/>
        <v>633040</v>
      </c>
      <c r="I19" s="23"/>
    </row>
    <row r="20" spans="2:10" hidden="1" x14ac:dyDescent="0.4">
      <c r="B20" s="2"/>
      <c r="C20" s="2"/>
      <c r="D20" s="2"/>
      <c r="E20" s="2"/>
      <c r="F20" s="2"/>
      <c r="G20" s="2"/>
      <c r="H20" s="2"/>
      <c r="I20" s="2"/>
      <c r="J20" s="25"/>
    </row>
    <row r="21" spans="2:10" hidden="1" x14ac:dyDescent="0.4"/>
    <row r="22" spans="2:10" hidden="1" x14ac:dyDescent="0.4">
      <c r="B22" s="26" t="s">
        <v>25</v>
      </c>
      <c r="C22" s="2"/>
      <c r="D22" s="2"/>
      <c r="E22" s="2"/>
      <c r="F22" s="2"/>
      <c r="G22" s="2"/>
      <c r="H22" s="2"/>
      <c r="I22" s="2"/>
    </row>
    <row r="23" spans="2:10" hidden="1" x14ac:dyDescent="0.4">
      <c r="B23" s="5" t="s">
        <v>26</v>
      </c>
      <c r="C23" s="5" t="s">
        <v>2</v>
      </c>
      <c r="D23" s="27"/>
      <c r="E23" s="19" t="s">
        <v>27</v>
      </c>
      <c r="F23" s="20"/>
      <c r="G23" s="20"/>
      <c r="H23" s="20"/>
      <c r="I23" s="20"/>
      <c r="J23" s="20"/>
    </row>
    <row r="24" spans="2:10" hidden="1" x14ac:dyDescent="0.4">
      <c r="B24" s="28"/>
      <c r="C24" s="10"/>
      <c r="D24" s="11" t="s">
        <v>4</v>
      </c>
      <c r="E24" s="12" t="s">
        <v>5</v>
      </c>
      <c r="F24" s="12" t="s">
        <v>6</v>
      </c>
      <c r="G24" s="29" t="s">
        <v>28</v>
      </c>
      <c r="H24" s="12" t="s">
        <v>29</v>
      </c>
      <c r="I24" s="12" t="s">
        <v>30</v>
      </c>
      <c r="J24" s="12" t="s">
        <v>31</v>
      </c>
    </row>
    <row r="25" spans="2:10" hidden="1" x14ac:dyDescent="0.4">
      <c r="B25" s="10"/>
      <c r="C25" s="14" t="s">
        <v>10</v>
      </c>
      <c r="D25" s="30" t="s">
        <v>11</v>
      </c>
      <c r="E25" s="31">
        <v>133</v>
      </c>
      <c r="F25" s="31">
        <v>143</v>
      </c>
      <c r="G25" s="31">
        <v>152</v>
      </c>
      <c r="H25" s="31">
        <v>162</v>
      </c>
      <c r="I25" s="31">
        <v>171</v>
      </c>
      <c r="J25" s="32">
        <v>200</v>
      </c>
    </row>
    <row r="26" spans="2:10" hidden="1" x14ac:dyDescent="0.4">
      <c r="B26" s="17" t="s">
        <v>32</v>
      </c>
      <c r="C26" s="33">
        <v>2476</v>
      </c>
      <c r="D26" s="18">
        <f>C26</f>
        <v>2476</v>
      </c>
      <c r="E26" s="18">
        <f>ROUNDDOWN($C$26+$E$25*($C$31-20),0)</f>
        <v>7264</v>
      </c>
      <c r="F26" s="18">
        <f>ROUNDDOWN($C$26+20*E25+F$25*(C31-40),0)</f>
        <v>7424</v>
      </c>
      <c r="G26" s="18">
        <f>ROUNDDOWN($C$26+E25*20+F25*20+G25*($C$31-60),0)</f>
        <v>7388</v>
      </c>
      <c r="H26" s="18">
        <f>ROUNDDOWN($C$26+E25*20+F25*20+G25*40+H25*($C$31-100),0)</f>
        <v>6948</v>
      </c>
      <c r="I26" s="18">
        <f>ROUNDDOWN($C$26+E25*20+F25*20+G25*40+H25*100+I25*($C$31-200),0)</f>
        <v>5652</v>
      </c>
      <c r="J26" s="34">
        <f>ROUNDDOWN($C$26+E25*20+F25*20+G25*40+H25*100+I25*1300+J25*($C$31-1500),0)</f>
        <v>-36224</v>
      </c>
    </row>
    <row r="29" spans="2:10" ht="34.5" customHeight="1" x14ac:dyDescent="0.4">
      <c r="H29" s="35" t="s">
        <v>33</v>
      </c>
      <c r="I29" s="35" t="s">
        <v>34</v>
      </c>
    </row>
    <row r="30" spans="2:10" ht="30.75" customHeight="1" x14ac:dyDescent="0.4">
      <c r="B30" s="36" t="s">
        <v>35</v>
      </c>
      <c r="C30" s="37">
        <v>13</v>
      </c>
      <c r="D30" s="38" t="s">
        <v>36</v>
      </c>
      <c r="G30" s="39" t="s">
        <v>37</v>
      </c>
      <c r="H30" s="40">
        <f>VLOOKUP($C$30,G52:H60,2)</f>
        <v>9020</v>
      </c>
      <c r="I30" s="40">
        <f>VLOOKUP(D60,A53:E59,5,0)</f>
        <v>7424</v>
      </c>
    </row>
    <row r="31" spans="2:10" ht="30.75" customHeight="1" x14ac:dyDescent="0.4">
      <c r="B31" s="36" t="s">
        <v>38</v>
      </c>
      <c r="C31" s="41">
        <v>56</v>
      </c>
      <c r="D31" s="38" t="s">
        <v>39</v>
      </c>
      <c r="G31" s="39" t="s">
        <v>40</v>
      </c>
      <c r="H31" s="40">
        <f>ROUNDDOWN(H30*0.1,0)</f>
        <v>902</v>
      </c>
      <c r="I31" s="40">
        <f>ROUNDDOWN(I30*0.1,0)</f>
        <v>742</v>
      </c>
    </row>
    <row r="32" spans="2:10" ht="30.75" customHeight="1" x14ac:dyDescent="0.4">
      <c r="G32" s="39" t="s">
        <v>41</v>
      </c>
      <c r="H32" s="40">
        <f>H30+H31</f>
        <v>9922</v>
      </c>
      <c r="I32" s="40">
        <f>I30+I31</f>
        <v>8166</v>
      </c>
    </row>
    <row r="33" spans="1:12" ht="70.5" customHeight="1" x14ac:dyDescent="0.4"/>
    <row r="34" spans="1:12" hidden="1" x14ac:dyDescent="0.4">
      <c r="A34" s="42"/>
      <c r="B34" s="42" t="s">
        <v>42</v>
      </c>
      <c r="C34" s="42" t="s">
        <v>43</v>
      </c>
      <c r="D34" s="42" t="s">
        <v>44</v>
      </c>
      <c r="E34" s="42">
        <v>13</v>
      </c>
      <c r="F34" s="42">
        <v>20</v>
      </c>
      <c r="G34" s="43"/>
      <c r="I34" s="43"/>
    </row>
    <row r="35" spans="1:12" hidden="1" x14ac:dyDescent="0.4">
      <c r="A35" s="42">
        <v>1</v>
      </c>
      <c r="B35" s="42" t="s">
        <v>45</v>
      </c>
      <c r="C35" s="44">
        <f>$C$31-20</f>
        <v>36</v>
      </c>
      <c r="D35" s="42" t="str">
        <f>IF(C35&gt;0,"",1)</f>
        <v/>
      </c>
      <c r="E35" s="45">
        <f>D7</f>
        <v>2580</v>
      </c>
      <c r="F35" s="45">
        <f>D8</f>
        <v>6339.9999999999991</v>
      </c>
      <c r="H35" s="43"/>
      <c r="I35" s="43"/>
    </row>
    <row r="36" spans="1:12" hidden="1" x14ac:dyDescent="0.4">
      <c r="A36" s="42">
        <v>2</v>
      </c>
      <c r="B36" s="42" t="s">
        <v>46</v>
      </c>
      <c r="C36" s="44">
        <f>$C$31-40</f>
        <v>16</v>
      </c>
      <c r="D36" s="42" t="str">
        <f>IF(C36&gt;0,"",1)</f>
        <v/>
      </c>
      <c r="E36" s="45">
        <f>E7</f>
        <v>8700</v>
      </c>
      <c r="F36" s="45">
        <f>E8</f>
        <v>12460</v>
      </c>
      <c r="G36" s="43"/>
      <c r="H36" s="43"/>
      <c r="I36" s="43"/>
    </row>
    <row r="37" spans="1:12" hidden="1" x14ac:dyDescent="0.4">
      <c r="A37" s="42">
        <v>3</v>
      </c>
      <c r="B37" s="42" t="s">
        <v>47</v>
      </c>
      <c r="C37" s="44">
        <f>$C$31-60</f>
        <v>-4</v>
      </c>
      <c r="D37" s="42">
        <f>IF(C37&gt;0,"",1)</f>
        <v>1</v>
      </c>
      <c r="E37" s="45">
        <f>F7</f>
        <v>9020</v>
      </c>
      <c r="F37" s="45">
        <f>F8</f>
        <v>12780</v>
      </c>
      <c r="G37" s="43"/>
      <c r="H37" s="43"/>
      <c r="I37" s="43"/>
    </row>
    <row r="38" spans="1:12" hidden="1" x14ac:dyDescent="0.4">
      <c r="A38" s="42">
        <v>4</v>
      </c>
      <c r="B38" s="42" t="s">
        <v>48</v>
      </c>
      <c r="C38" s="44">
        <f>$C$31-120</f>
        <v>-64</v>
      </c>
      <c r="D38" s="42">
        <f>IF(C38&gt;0,"",1)</f>
        <v>1</v>
      </c>
      <c r="E38" s="45">
        <f>G7</f>
        <v>8920</v>
      </c>
      <c r="F38" s="45">
        <f>G8</f>
        <v>12680</v>
      </c>
      <c r="G38" s="43"/>
      <c r="H38" s="43"/>
      <c r="I38" s="43"/>
    </row>
    <row r="39" spans="1:12" hidden="1" x14ac:dyDescent="0.4">
      <c r="A39" s="42">
        <v>5</v>
      </c>
      <c r="B39" s="42" t="s">
        <v>49</v>
      </c>
      <c r="C39" s="44">
        <f>$C$31-220</f>
        <v>-164</v>
      </c>
      <c r="D39" s="42">
        <f>IF(C39&gt;0,"",1)</f>
        <v>1</v>
      </c>
      <c r="E39" s="45">
        <f>H7</f>
        <v>7640</v>
      </c>
      <c r="F39" s="45">
        <f>H8</f>
        <v>11400</v>
      </c>
      <c r="G39" s="43"/>
      <c r="H39" s="43"/>
      <c r="I39" s="43"/>
    </row>
    <row r="40" spans="1:12" hidden="1" x14ac:dyDescent="0.4">
      <c r="A40" s="42">
        <v>6</v>
      </c>
      <c r="B40" s="42" t="s">
        <v>50</v>
      </c>
      <c r="C40" s="44"/>
      <c r="D40" s="42"/>
      <c r="E40" s="45">
        <f>I7</f>
        <v>4360</v>
      </c>
      <c r="F40" s="45">
        <f>I8</f>
        <v>8120</v>
      </c>
      <c r="G40" s="43"/>
      <c r="H40" s="43"/>
      <c r="I40" s="43"/>
    </row>
    <row r="41" spans="1:12" hidden="1" x14ac:dyDescent="0.4">
      <c r="A41" s="42"/>
      <c r="B41" s="42"/>
      <c r="C41" s="42"/>
      <c r="D41" s="42">
        <f>COUNTBLANK(D35:D40)</f>
        <v>3</v>
      </c>
      <c r="E41" s="42"/>
      <c r="F41" s="42"/>
      <c r="G41" s="43"/>
      <c r="H41" s="43"/>
      <c r="I41" s="43"/>
    </row>
    <row r="42" spans="1:12" hidden="1" x14ac:dyDescent="0.4"/>
    <row r="43" spans="1:12" hidden="1" x14ac:dyDescent="0.4"/>
    <row r="44" spans="1:12" hidden="1" x14ac:dyDescent="0.4">
      <c r="A44" s="42"/>
      <c r="B44" s="42" t="s">
        <v>42</v>
      </c>
      <c r="C44" s="42" t="s">
        <v>43</v>
      </c>
      <c r="D44" s="42" t="s">
        <v>44</v>
      </c>
      <c r="E44" s="36">
        <v>25</v>
      </c>
      <c r="F44" s="36">
        <v>30</v>
      </c>
      <c r="G44" s="36">
        <v>40</v>
      </c>
      <c r="H44" s="36">
        <v>50</v>
      </c>
      <c r="I44" s="36">
        <v>75</v>
      </c>
      <c r="J44" s="36">
        <v>100</v>
      </c>
      <c r="K44" s="36">
        <v>150</v>
      </c>
      <c r="L44" s="36">
        <v>200</v>
      </c>
    </row>
    <row r="45" spans="1:12" hidden="1" x14ac:dyDescent="0.4">
      <c r="A45" s="42">
        <v>1</v>
      </c>
      <c r="B45" s="42" t="s">
        <v>45</v>
      </c>
      <c r="C45" s="44">
        <f>$C$31-20</f>
        <v>36</v>
      </c>
      <c r="D45" s="42" t="str">
        <f>IF(C45&gt;0,"",1)</f>
        <v/>
      </c>
      <c r="E45" s="45">
        <f>$D$12</f>
        <v>19400</v>
      </c>
      <c r="F45" s="45">
        <f>$D$13</f>
        <v>23640</v>
      </c>
      <c r="G45" s="45">
        <f>$D$14</f>
        <v>35400</v>
      </c>
      <c r="H45" s="45">
        <f>$D$15</f>
        <v>49520</v>
      </c>
      <c r="I45" s="45">
        <f>$D$16</f>
        <v>98960</v>
      </c>
      <c r="J45" s="45">
        <f>$D$17</f>
        <v>167220</v>
      </c>
      <c r="K45" s="45">
        <f>$D$18</f>
        <v>367320</v>
      </c>
      <c r="L45" s="45">
        <f>$D$19</f>
        <v>635680</v>
      </c>
    </row>
    <row r="46" spans="1:12" hidden="1" x14ac:dyDescent="0.4">
      <c r="A46" s="42">
        <v>2</v>
      </c>
      <c r="B46" s="42" t="s">
        <v>46</v>
      </c>
      <c r="C46" s="44">
        <f>$C$31-40</f>
        <v>16</v>
      </c>
      <c r="D46" s="42" t="str">
        <f>IF(C46&gt;0,"",1)</f>
        <v/>
      </c>
      <c r="E46" s="45">
        <f>$E$12</f>
        <v>20120</v>
      </c>
      <c r="F46" s="45">
        <f>$E$13</f>
        <v>24360</v>
      </c>
      <c r="G46" s="45">
        <f>$E$14</f>
        <v>36120</v>
      </c>
      <c r="H46" s="45">
        <f>$E$15</f>
        <v>50240</v>
      </c>
      <c r="I46" s="45">
        <f>$E$16</f>
        <v>99680</v>
      </c>
      <c r="J46" s="45">
        <f>$E$17</f>
        <v>167940</v>
      </c>
      <c r="K46" s="45">
        <f>$E$18</f>
        <v>368040</v>
      </c>
      <c r="L46" s="45">
        <f>$E$19</f>
        <v>636400</v>
      </c>
    </row>
    <row r="47" spans="1:12" hidden="1" x14ac:dyDescent="0.4">
      <c r="A47" s="42">
        <v>3</v>
      </c>
      <c r="B47" s="42" t="s">
        <v>51</v>
      </c>
      <c r="C47" s="44">
        <f>$C$31-100</f>
        <v>-44</v>
      </c>
      <c r="D47" s="42">
        <f>IF(C47&gt;0,"",1)</f>
        <v>1</v>
      </c>
      <c r="E47" s="45">
        <f>$F$12</f>
        <v>20520</v>
      </c>
      <c r="F47" s="45">
        <f>$F$13</f>
        <v>24760</v>
      </c>
      <c r="G47" s="45">
        <f>$F$14</f>
        <v>36520</v>
      </c>
      <c r="H47" s="45">
        <f>$F$15</f>
        <v>50640</v>
      </c>
      <c r="I47" s="45">
        <f>$F$16</f>
        <v>100080</v>
      </c>
      <c r="J47" s="45">
        <f>$F$17</f>
        <v>168340</v>
      </c>
      <c r="K47" s="45">
        <f>$F$18</f>
        <v>368440</v>
      </c>
      <c r="L47" s="45">
        <f>$F$19</f>
        <v>636800</v>
      </c>
    </row>
    <row r="48" spans="1:12" hidden="1" x14ac:dyDescent="0.4">
      <c r="A48" s="42">
        <v>4</v>
      </c>
      <c r="B48" s="42" t="s">
        <v>52</v>
      </c>
      <c r="C48" s="44">
        <f>$C$31-200</f>
        <v>-144</v>
      </c>
      <c r="D48" s="42">
        <f>IF(C48&gt;0,"",1)</f>
        <v>1</v>
      </c>
      <c r="E48" s="45">
        <f>$G$12</f>
        <v>19640</v>
      </c>
      <c r="F48" s="45">
        <f>$G$13</f>
        <v>23880</v>
      </c>
      <c r="G48" s="45">
        <f>$G$14</f>
        <v>35640</v>
      </c>
      <c r="H48" s="45">
        <f>$G$15</f>
        <v>49760</v>
      </c>
      <c r="I48" s="45">
        <f>$G$16</f>
        <v>99200</v>
      </c>
      <c r="J48" s="45">
        <f>$G$17</f>
        <v>167460</v>
      </c>
      <c r="K48" s="45">
        <f>$G$18</f>
        <v>367560</v>
      </c>
      <c r="L48" s="45">
        <f>$G$19</f>
        <v>635920</v>
      </c>
    </row>
    <row r="49" spans="1:12" hidden="1" x14ac:dyDescent="0.4">
      <c r="A49" s="42">
        <v>5</v>
      </c>
      <c r="B49" s="42" t="s">
        <v>53</v>
      </c>
      <c r="C49" s="44"/>
      <c r="D49" s="42"/>
      <c r="E49" s="45">
        <f>$H$12</f>
        <v>16760</v>
      </c>
      <c r="F49" s="45">
        <f>$H$13</f>
        <v>21000</v>
      </c>
      <c r="G49" s="45">
        <f>$H$14</f>
        <v>32760</v>
      </c>
      <c r="H49" s="45">
        <f>$H$15</f>
        <v>46880</v>
      </c>
      <c r="I49" s="45">
        <f>$H$16</f>
        <v>96320</v>
      </c>
      <c r="J49" s="45">
        <f>$H$17</f>
        <v>164580</v>
      </c>
      <c r="K49" s="45">
        <f>$H$18</f>
        <v>364680</v>
      </c>
      <c r="L49" s="45">
        <f>$H$19</f>
        <v>633040</v>
      </c>
    </row>
    <row r="50" spans="1:12" hidden="1" x14ac:dyDescent="0.4">
      <c r="A50" s="42"/>
      <c r="B50" s="42"/>
      <c r="C50" s="42"/>
      <c r="D50" s="42">
        <f>COUNTBLANK(D45:D49)</f>
        <v>3</v>
      </c>
      <c r="E50" s="42"/>
      <c r="F50" s="42"/>
      <c r="G50" s="42"/>
      <c r="H50" s="42"/>
      <c r="I50" s="42"/>
      <c r="J50" s="42"/>
      <c r="K50" s="42"/>
      <c r="L50" s="42"/>
    </row>
    <row r="51" spans="1:12" hidden="1" x14ac:dyDescent="0.4"/>
    <row r="52" spans="1:12" hidden="1" x14ac:dyDescent="0.4">
      <c r="A52" s="42"/>
      <c r="B52" s="42" t="s">
        <v>54</v>
      </c>
      <c r="C52" s="42"/>
      <c r="D52" s="42"/>
      <c r="E52" s="42"/>
      <c r="G52" s="42">
        <v>13</v>
      </c>
      <c r="H52" s="46">
        <f>INDEX(A34:F40,MATCH(D41,A34:A40,0),MATCH(G52,A34:F34,0))</f>
        <v>9020</v>
      </c>
    </row>
    <row r="53" spans="1:12" hidden="1" x14ac:dyDescent="0.4">
      <c r="A53" s="42">
        <v>1</v>
      </c>
      <c r="B53" s="42" t="s">
        <v>45</v>
      </c>
      <c r="C53" s="44">
        <f>$C$31-20</f>
        <v>36</v>
      </c>
      <c r="D53" s="42" t="str">
        <f>IF(C53&gt;0,"",1)</f>
        <v/>
      </c>
      <c r="E53" s="45">
        <f>D26</f>
        <v>2476</v>
      </c>
      <c r="G53" s="42">
        <v>20</v>
      </c>
      <c r="H53" s="46">
        <f>INDEX(A34:F40,MATCH(D41,A34:A40,0),MATCH(G53,A34:F34,0))</f>
        <v>12780</v>
      </c>
    </row>
    <row r="54" spans="1:12" hidden="1" x14ac:dyDescent="0.4">
      <c r="A54" s="42">
        <v>2</v>
      </c>
      <c r="B54" s="42" t="s">
        <v>46</v>
      </c>
      <c r="C54" s="44">
        <f>$C$31-40</f>
        <v>16</v>
      </c>
      <c r="D54" s="42" t="str">
        <f>IF(C54&gt;0,"",1)</f>
        <v/>
      </c>
      <c r="E54" s="45">
        <f>E26</f>
        <v>7264</v>
      </c>
      <c r="G54" s="42">
        <v>25</v>
      </c>
      <c r="H54" s="46">
        <f>INDEX(A44:L49,MATCH(D50,A44:A49,0),MATCH(G54,A44:L44,0))</f>
        <v>20520</v>
      </c>
      <c r="I54" s="43"/>
    </row>
    <row r="55" spans="1:12" hidden="1" x14ac:dyDescent="0.4">
      <c r="A55" s="42">
        <v>3</v>
      </c>
      <c r="B55" s="42" t="s">
        <v>47</v>
      </c>
      <c r="C55" s="44">
        <f>$C$31-60</f>
        <v>-4</v>
      </c>
      <c r="D55" s="42">
        <f>IF(C55&gt;0,"",1)</f>
        <v>1</v>
      </c>
      <c r="E55" s="45">
        <f>F26</f>
        <v>7424</v>
      </c>
      <c r="G55" s="42">
        <v>30</v>
      </c>
      <c r="H55" s="46">
        <f>INDEX(A44:L49,MATCH(D50,A44:A49,0),MATCH(G55,A44:L44,0))</f>
        <v>24760</v>
      </c>
      <c r="I55" s="43"/>
    </row>
    <row r="56" spans="1:12" hidden="1" x14ac:dyDescent="0.4">
      <c r="A56" s="42">
        <v>4</v>
      </c>
      <c r="B56" s="42" t="s">
        <v>55</v>
      </c>
      <c r="C56" s="44">
        <f>$C$31-100</f>
        <v>-44</v>
      </c>
      <c r="D56" s="42">
        <f>IF(C56&gt;0,"",1)</f>
        <v>1</v>
      </c>
      <c r="E56" s="45">
        <f>G26</f>
        <v>7388</v>
      </c>
      <c r="G56" s="42">
        <v>40</v>
      </c>
      <c r="H56" s="46">
        <f>INDEX(A44:L49,MATCH(D50,A44:A49,0),MATCH(G56,A44:L44,0))</f>
        <v>36520</v>
      </c>
      <c r="I56" s="43"/>
    </row>
    <row r="57" spans="1:12" hidden="1" x14ac:dyDescent="0.4">
      <c r="A57" s="42">
        <v>5</v>
      </c>
      <c r="B57" s="42" t="s">
        <v>52</v>
      </c>
      <c r="C57" s="44">
        <f>$C$31-200</f>
        <v>-144</v>
      </c>
      <c r="D57" s="42">
        <f>IF(C57&gt;0,"",1)</f>
        <v>1</v>
      </c>
      <c r="E57" s="45">
        <f>H26</f>
        <v>6948</v>
      </c>
      <c r="G57" s="42">
        <v>50</v>
      </c>
      <c r="H57" s="46">
        <f>INDEX(A44:L49,MATCH(D50,A44:A49,0),MATCH(G57,A44:L44,0))</f>
        <v>50640</v>
      </c>
      <c r="I57" s="43"/>
    </row>
    <row r="58" spans="1:12" hidden="1" x14ac:dyDescent="0.4">
      <c r="A58" s="42">
        <v>6</v>
      </c>
      <c r="B58" s="42" t="s">
        <v>56</v>
      </c>
      <c r="C58" s="44">
        <f>$C$31-1500</f>
        <v>-1444</v>
      </c>
      <c r="D58" s="42">
        <f>IF(C58&gt;0,"",1)</f>
        <v>1</v>
      </c>
      <c r="E58" s="45">
        <f>I26</f>
        <v>5652</v>
      </c>
      <c r="G58" s="42">
        <v>75</v>
      </c>
      <c r="H58" s="46">
        <f>INDEX(A44:L49,MATCH(D50,A44:A49,0),MATCH(G58,A44:L44,0))</f>
        <v>100080</v>
      </c>
      <c r="I58" s="43"/>
    </row>
    <row r="59" spans="1:12" hidden="1" x14ac:dyDescent="0.4">
      <c r="A59" s="42">
        <v>7</v>
      </c>
      <c r="B59" s="42" t="s">
        <v>57</v>
      </c>
      <c r="C59" s="44"/>
      <c r="D59" s="42"/>
      <c r="E59" s="45">
        <f>J26</f>
        <v>-36224</v>
      </c>
      <c r="F59" s="43"/>
      <c r="G59" s="42">
        <v>100</v>
      </c>
      <c r="H59" s="46">
        <f>INDEX(A44:L49,MATCH(D50,A44:A49,0),MATCH(G59,A44:L44,0))</f>
        <v>168340</v>
      </c>
      <c r="I59" s="43"/>
    </row>
    <row r="60" spans="1:12" hidden="1" x14ac:dyDescent="0.4">
      <c r="A60" s="42"/>
      <c r="B60" s="42"/>
      <c r="C60" s="42"/>
      <c r="D60" s="42">
        <f>COUNTBLANK(D53:D59)</f>
        <v>3</v>
      </c>
      <c r="E60" s="42"/>
      <c r="F60" s="43"/>
      <c r="G60" s="42">
        <v>150</v>
      </c>
      <c r="H60" s="46">
        <f>INDEX(A44:L49,MATCH(D50,A44:A49,0),MATCH(G60,A44:L44,0))</f>
        <v>368440</v>
      </c>
      <c r="I60" s="43"/>
    </row>
    <row r="61" spans="1:12" hidden="1" x14ac:dyDescent="0.4">
      <c r="B61" s="43"/>
      <c r="C61" s="43"/>
      <c r="D61" s="43"/>
      <c r="E61" s="43"/>
    </row>
  </sheetData>
  <sheetProtection algorithmName="SHA-512" hashValue="TXUzORajbhI+KPGVZ7vTRfKPvZnqiep9hUHaeFtHTUlJCVsD/Mojq6UhXrWCv+t5inmEURUECo7NWZNSOo18eA==" saltValue="lqg8PzqQKOS8TU7DTc8NPA==" spinCount="100000" sheet="1" objects="1" scenarios="1"/>
  <mergeCells count="9">
    <mergeCell ref="B23:B25"/>
    <mergeCell ref="C23:C24"/>
    <mergeCell ref="E23:J23"/>
    <mergeCell ref="B4:B6"/>
    <mergeCell ref="C4:C5"/>
    <mergeCell ref="D4:I4"/>
    <mergeCell ref="B9:B11"/>
    <mergeCell ref="C9:C10"/>
    <mergeCell ref="D9:I9"/>
  </mergeCells>
  <phoneticPr fontId="3"/>
  <dataValidations count="2">
    <dataValidation type="list" allowBlank="1" showInputMessage="1" showErrorMessage="1" sqref="C30" xr:uid="{8A2CC6FF-AA45-445A-8143-E82AD412B7D9}">
      <formula1>$G$52:$G$60</formula1>
    </dataValidation>
    <dataValidation type="whole" allowBlank="1" showInputMessage="1" showErrorMessage="1" prompt="水量を入力してください" sqref="C31" xr:uid="{98D8CF05-D317-4FE3-A768-21885DFDEE22}">
      <formula1>0</formula1>
      <formula2>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２か月あたりの額　計算表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池元　英美</dc:creator>
  <cp:lastModifiedBy>池元　英美</cp:lastModifiedBy>
  <dcterms:created xsi:type="dcterms:W3CDTF">2023-11-01T05:42:23Z</dcterms:created>
  <dcterms:modified xsi:type="dcterms:W3CDTF">2023-11-01T05:44:37Z</dcterms:modified>
</cp:coreProperties>
</file>